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VDA DCF" sheetId="1" r:id="rId4"/>
  </sheets>
  <definedNames/>
  <calcPr/>
</workbook>
</file>

<file path=xl/sharedStrings.xml><?xml version="1.0" encoding="utf-8"?>
<sst xmlns="http://schemas.openxmlformats.org/spreadsheetml/2006/main" count="104" uniqueCount="37">
  <si>
    <t>FCF</t>
  </si>
  <si>
    <t>Period Ending</t>
  </si>
  <si>
    <t>TTM (Q3)</t>
  </si>
  <si>
    <t>Cash From Operations (CFO)</t>
  </si>
  <si>
    <t>Capital Expenditures (CapEx)</t>
  </si>
  <si>
    <t>Free Cash Flow (FCF) [Simple]</t>
  </si>
  <si>
    <t>FCF Rate</t>
  </si>
  <si>
    <t>Net Income (NI)</t>
  </si>
  <si>
    <t>FCF Rate (FCF / NI)</t>
  </si>
  <si>
    <t>Actual/Projected Revenue Growth</t>
  </si>
  <si>
    <t>A</t>
  </si>
  <si>
    <t>A(Q3)P(Q4)</t>
  </si>
  <si>
    <t>P</t>
  </si>
  <si>
    <t>TTM (A/P)</t>
  </si>
  <si>
    <t>2026(P)</t>
  </si>
  <si>
    <t>2027(P)</t>
  </si>
  <si>
    <t>2028(P)</t>
  </si>
  <si>
    <t>2029(P)</t>
  </si>
  <si>
    <t>2030(P)</t>
  </si>
  <si>
    <t>Total Revenue</t>
  </si>
  <si>
    <t>Revenue Growth Rate</t>
  </si>
  <si>
    <t>Net Income Margin</t>
  </si>
  <si>
    <t>Actual/Projected Net Income</t>
  </si>
  <si>
    <t>Actual/Projected FCF</t>
  </si>
  <si>
    <t>NVDA: Complete DCF Model</t>
  </si>
  <si>
    <t>TV</t>
  </si>
  <si>
    <t>Discount Factor</t>
  </si>
  <si>
    <t>PV of FCF</t>
  </si>
  <si>
    <t>Current Value</t>
  </si>
  <si>
    <t>Shares Outstanding</t>
  </si>
  <si>
    <t>Intrinsic Value</t>
  </si>
  <si>
    <t>Assumptions</t>
  </si>
  <si>
    <t>Revenue Growth Assumption</t>
  </si>
  <si>
    <t>Net Income Margins</t>
  </si>
  <si>
    <t>Required Return (or WACC)</t>
  </si>
  <si>
    <t>Perpetual Growth</t>
  </si>
  <si>
    <t>Margin of Safety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</si>
</sst>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_);_(&quot;$&quot;* \(#,##0\);_(&quot;$&quot;* &quot;-&quot;??_);_(@_)"/>
    <numFmt numFmtId="165" formatCode="0.0%"/>
    <numFmt numFmtId="166" formatCode="_(&quot;$&quot;* #,##0.00_);_(&quot;$&quot;* \(#,##0.00\);_(&quot;$&quot;* &quot;-&quot;??_);_(@_)"/>
  </numFmts>
  <fonts count="9">
    <font>
      <sz val="11.0"/>
      <color theme="1"/>
      <name val="Calibri"/>
      <scheme val="minor"/>
    </font>
    <font>
      <sz val="10.0"/>
      <color theme="1"/>
      <name val="Karla"/>
    </font>
    <font>
      <b/>
      <i/>
      <sz val="10.0"/>
      <color theme="1"/>
      <name val="Karla"/>
    </font>
    <font>
      <b/>
      <sz val="10.0"/>
      <color theme="1"/>
      <name val="Karla"/>
    </font>
    <font>
      <i/>
      <sz val="10.0"/>
      <color theme="1"/>
      <name val="Karla"/>
    </font>
    <font>
      <b/>
      <sz val="12.0"/>
      <color rgb="FFFFFFFF"/>
      <name val="Karla"/>
    </font>
    <font/>
    <font>
      <sz val="10.0"/>
      <color rgb="FF000000"/>
      <name val="Karla"/>
    </font>
    <font>
      <b/>
      <sz val="10.0"/>
      <color rgb="FFFFFFFF"/>
      <name val="Karla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DAA520"/>
        <bgColor rgb="FFDAA520"/>
      </patternFill>
    </fill>
    <fill>
      <patternFill patternType="solid">
        <fgColor rgb="FF4A86E8"/>
        <bgColor rgb="FF4A86E8"/>
      </patternFill>
    </fill>
  </fills>
  <borders count="6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3" fontId="3" numFmtId="0" xfId="0" applyAlignment="1" applyBorder="1" applyFill="1" applyFont="1">
      <alignment horizontal="left" readingOrder="0"/>
    </xf>
    <xf borderId="2" fillId="3" fontId="3" numFmtId="0" xfId="0" applyAlignment="1" applyBorder="1" applyFont="1">
      <alignment horizontal="center" readingOrder="0"/>
    </xf>
    <xf borderId="2" fillId="2" fontId="3" numFmtId="0" xfId="0" applyBorder="1" applyFont="1"/>
    <xf borderId="2" fillId="2" fontId="1" numFmtId="164" xfId="0" applyAlignment="1" applyBorder="1" applyFont="1" applyNumberFormat="1">
      <alignment readingOrder="0"/>
    </xf>
    <xf borderId="2" fillId="2" fontId="1" numFmtId="164" xfId="0" applyBorder="1" applyFont="1" applyNumberFormat="1"/>
    <xf borderId="2" fillId="2" fontId="1" numFmtId="165" xfId="0" applyAlignment="1" applyBorder="1" applyFont="1" applyNumberFormat="1">
      <alignment horizontal="right"/>
    </xf>
    <xf borderId="1" fillId="2" fontId="1" numFmtId="10" xfId="0" applyBorder="1" applyFont="1" applyNumberFormat="1"/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4" numFmtId="0" xfId="0" applyAlignment="1" applyBorder="1" applyFont="1">
      <alignment horizontal="center" readingOrder="0"/>
    </xf>
    <xf borderId="2" fillId="4" fontId="3" numFmtId="164" xfId="0" applyAlignment="1" applyBorder="1" applyFill="1" applyFont="1" applyNumberFormat="1">
      <alignment readingOrder="0"/>
    </xf>
    <xf borderId="2" fillId="0" fontId="1" numFmtId="164" xfId="0" applyAlignment="1" applyBorder="1" applyFont="1" applyNumberFormat="1">
      <alignment readingOrder="0"/>
    </xf>
    <xf borderId="2" fillId="2" fontId="1" numFmtId="0" xfId="0" applyBorder="1" applyFont="1"/>
    <xf borderId="2" fillId="2" fontId="1" numFmtId="10" xfId="0" applyAlignment="1" applyBorder="1" applyFont="1" applyNumberFormat="1">
      <alignment horizontal="right"/>
    </xf>
    <xf borderId="2" fillId="0" fontId="1" numFmtId="10" xfId="0" applyAlignment="1" applyBorder="1" applyFont="1" applyNumberFormat="1">
      <alignment horizontal="right"/>
    </xf>
    <xf borderId="2" fillId="4" fontId="1" numFmtId="10" xfId="0" applyAlignment="1" applyBorder="1" applyFont="1" applyNumberFormat="1">
      <alignment horizontal="right"/>
    </xf>
    <xf borderId="2" fillId="4" fontId="1" numFmtId="10" xfId="0" applyAlignment="1" applyBorder="1" applyFont="1" applyNumberFormat="1">
      <alignment horizontal="right" readingOrder="0"/>
    </xf>
    <xf borderId="2" fillId="4" fontId="1" numFmtId="164" xfId="0" applyBorder="1" applyFont="1" applyNumberFormat="1"/>
    <xf borderId="2" fillId="2" fontId="1" numFmtId="165" xfId="0" applyBorder="1" applyFont="1" applyNumberFormat="1"/>
    <xf borderId="2" fillId="4" fontId="1" numFmtId="165" xfId="0" applyBorder="1" applyFont="1" applyNumberFormat="1"/>
    <xf borderId="1" fillId="2" fontId="1" numFmtId="166" xfId="0" applyBorder="1" applyFont="1" applyNumberFormat="1"/>
    <xf borderId="3" fillId="5" fontId="5" numFmtId="0" xfId="0" applyAlignment="1" applyBorder="1" applyFill="1" applyFont="1">
      <alignment horizontal="center" readingOrder="0"/>
    </xf>
    <xf borderId="4" fillId="0" fontId="6" numFmtId="0" xfId="0" applyBorder="1" applyFont="1"/>
    <xf borderId="5" fillId="0" fontId="6" numFmtId="0" xfId="0" applyBorder="1" applyFont="1"/>
    <xf borderId="2" fillId="3" fontId="3" numFmtId="0" xfId="0" applyAlignment="1" applyBorder="1" applyFont="1">
      <alignment horizontal="center"/>
    </xf>
    <xf borderId="2" fillId="2" fontId="1" numFmtId="2" xfId="0" applyBorder="1" applyFont="1" applyNumberFormat="1"/>
    <xf borderId="2" fillId="2" fontId="3" numFmtId="164" xfId="0" applyBorder="1" applyFont="1" applyNumberFormat="1"/>
    <xf borderId="2" fillId="0" fontId="7" numFmtId="3" xfId="0" applyAlignment="1" applyBorder="1" applyFont="1" applyNumberFormat="1">
      <alignment horizontal="center" readingOrder="0"/>
    </xf>
    <xf borderId="2" fillId="6" fontId="8" numFmtId="0" xfId="0" applyBorder="1" applyFill="1" applyFont="1"/>
    <xf borderId="2" fillId="6" fontId="8" numFmtId="166" xfId="0" applyBorder="1" applyFont="1" applyNumberFormat="1"/>
    <xf borderId="2" fillId="2" fontId="1" numFmtId="0" xfId="0" applyAlignment="1" applyBorder="1" applyFont="1">
      <alignment readingOrder="0"/>
    </xf>
    <xf borderId="2" fillId="3" fontId="1" numFmtId="10" xfId="0" applyAlignment="1" applyBorder="1" applyFont="1" applyNumberFormat="1">
      <alignment readingOrder="0"/>
    </xf>
    <xf borderId="2" fillId="3" fontId="3" numFmtId="0" xfId="0" applyBorder="1" applyFont="1"/>
    <xf borderId="2" fillId="2" fontId="1" numFmtId="9" xfId="0" applyBorder="1" applyFont="1" applyNumberFormat="1"/>
    <xf borderId="2" fillId="2" fontId="1" numFmtId="166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28.71"/>
    <col customWidth="1" min="3" max="3" width="14.0"/>
    <col customWidth="1" min="4" max="5" width="11.71"/>
    <col customWidth="1" min="6" max="10" width="12.14"/>
    <col customWidth="1" min="11" max="11" width="12.0"/>
    <col customWidth="1" min="12" max="14" width="12.14"/>
    <col customWidth="1" min="15" max="26" width="8.71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3" t="s">
        <v>1</v>
      </c>
      <c r="C3" s="4">
        <v>2021.0</v>
      </c>
      <c r="D3" s="4">
        <v>2022.0</v>
      </c>
      <c r="E3" s="4">
        <v>2023.0</v>
      </c>
      <c r="F3" s="4">
        <v>2024.0</v>
      </c>
      <c r="G3" s="4" t="s">
        <v>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5" t="s">
        <v>3</v>
      </c>
      <c r="C4" s="6">
        <v>5822.0</v>
      </c>
      <c r="D4" s="6">
        <v>9108.0</v>
      </c>
      <c r="E4" s="6">
        <v>5641.0</v>
      </c>
      <c r="F4" s="6">
        <v>28090.0</v>
      </c>
      <c r="G4" s="6">
        <v>58959.0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5" t="s">
        <v>4</v>
      </c>
      <c r="C5" s="6">
        <v>-1128.0</v>
      </c>
      <c r="D5" s="6">
        <v>-976.0</v>
      </c>
      <c r="E5" s="6">
        <v>-1833.0</v>
      </c>
      <c r="F5" s="6">
        <v>-1069.0</v>
      </c>
      <c r="G5" s="6">
        <v>-2413.0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5" t="s">
        <v>5</v>
      </c>
      <c r="C6" s="7">
        <f t="shared" ref="C6:G6" si="1">C4+C5</f>
        <v>4694</v>
      </c>
      <c r="D6" s="7">
        <f t="shared" si="1"/>
        <v>8132</v>
      </c>
      <c r="E6" s="7">
        <f t="shared" si="1"/>
        <v>3808</v>
      </c>
      <c r="F6" s="7">
        <f t="shared" si="1"/>
        <v>27021</v>
      </c>
      <c r="G6" s="7">
        <f t="shared" si="1"/>
        <v>56546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B8" s="2" t="s">
        <v>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B9" s="3" t="s">
        <v>1</v>
      </c>
      <c r="C9" s="4">
        <v>2021.0</v>
      </c>
      <c r="D9" s="4">
        <v>2022.0</v>
      </c>
      <c r="E9" s="4">
        <v>2023.0</v>
      </c>
      <c r="F9" s="4">
        <v>2024.0</v>
      </c>
      <c r="G9" s="4" t="s">
        <v>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1"/>
      <c r="B10" s="5" t="s">
        <v>7</v>
      </c>
      <c r="C10" s="6">
        <v>4332.0</v>
      </c>
      <c r="D10" s="6">
        <v>9752.0</v>
      </c>
      <c r="E10" s="6">
        <v>4368.0</v>
      </c>
      <c r="F10" s="6">
        <v>29760.0</v>
      </c>
      <c r="G10" s="6">
        <v>63074.0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5" t="s">
        <v>5</v>
      </c>
      <c r="C11" s="7">
        <f t="shared" ref="C11:G11" si="2">C6</f>
        <v>4694</v>
      </c>
      <c r="D11" s="7">
        <f t="shared" si="2"/>
        <v>8132</v>
      </c>
      <c r="E11" s="7">
        <f t="shared" si="2"/>
        <v>3808</v>
      </c>
      <c r="F11" s="7">
        <f t="shared" si="2"/>
        <v>27021</v>
      </c>
      <c r="G11" s="7">
        <f t="shared" si="2"/>
        <v>56546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5" t="s">
        <v>8</v>
      </c>
      <c r="C12" s="8">
        <f t="shared" ref="C12:G12" si="3">C11/C10</f>
        <v>1.083564174</v>
      </c>
      <c r="D12" s="8">
        <f t="shared" si="3"/>
        <v>0.8338802297</v>
      </c>
      <c r="E12" s="8">
        <f t="shared" si="3"/>
        <v>0.8717948718</v>
      </c>
      <c r="F12" s="8">
        <f t="shared" si="3"/>
        <v>0.9079637097</v>
      </c>
      <c r="G12" s="8">
        <f t="shared" si="3"/>
        <v>0.8965025208</v>
      </c>
      <c r="H12" s="1"/>
      <c r="I12" s="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.5" customHeight="1">
      <c r="A14" s="1"/>
      <c r="B14" s="10" t="s">
        <v>9</v>
      </c>
      <c r="C14" s="11" t="s">
        <v>10</v>
      </c>
      <c r="D14" s="11" t="s">
        <v>10</v>
      </c>
      <c r="E14" s="11" t="s">
        <v>10</v>
      </c>
      <c r="F14" s="11" t="s">
        <v>10</v>
      </c>
      <c r="G14" s="12" t="s">
        <v>11</v>
      </c>
      <c r="H14" s="11" t="s">
        <v>12</v>
      </c>
      <c r="I14" s="11" t="s">
        <v>12</v>
      </c>
      <c r="J14" s="11" t="s">
        <v>12</v>
      </c>
      <c r="K14" s="11" t="s">
        <v>12</v>
      </c>
      <c r="L14" s="11" t="s">
        <v>12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1"/>
      <c r="B15" s="3" t="s">
        <v>1</v>
      </c>
      <c r="C15" s="4">
        <v>2021.0</v>
      </c>
      <c r="D15" s="4">
        <v>2022.0</v>
      </c>
      <c r="E15" s="4">
        <v>2023.0</v>
      </c>
      <c r="F15" s="4">
        <v>2024.0</v>
      </c>
      <c r="G15" s="4" t="s">
        <v>13</v>
      </c>
      <c r="H15" s="4" t="s">
        <v>14</v>
      </c>
      <c r="I15" s="4" t="s">
        <v>15</v>
      </c>
      <c r="J15" s="4" t="s">
        <v>16</v>
      </c>
      <c r="K15" s="4" t="s">
        <v>17</v>
      </c>
      <c r="L15" s="4" t="s">
        <v>18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5" t="s">
        <v>19</v>
      </c>
      <c r="C16" s="6">
        <v>16675.0</v>
      </c>
      <c r="D16" s="6">
        <v>26914.0</v>
      </c>
      <c r="E16" s="6">
        <v>26974.0</v>
      </c>
      <c r="F16" s="6">
        <v>60922.0</v>
      </c>
      <c r="G16" s="13">
        <v>129130.0</v>
      </c>
      <c r="H16" s="13">
        <v>195410.0</v>
      </c>
      <c r="I16" s="14">
        <f t="shared" ref="I16:L16" si="4">H16*(1+$C$49)</f>
        <v>273574</v>
      </c>
      <c r="J16" s="14">
        <f t="shared" si="4"/>
        <v>383003.6</v>
      </c>
      <c r="K16" s="14">
        <f t="shared" si="4"/>
        <v>536205.04</v>
      </c>
      <c r="L16" s="14">
        <f t="shared" si="4"/>
        <v>750687.056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5" t="s">
        <v>20</v>
      </c>
      <c r="C17" s="15"/>
      <c r="D17" s="16">
        <f t="shared" ref="D17:H17" si="5">(D16/C16)-1</f>
        <v>0.6140329835</v>
      </c>
      <c r="E17" s="16">
        <f t="shared" si="5"/>
        <v>0.002229323029</v>
      </c>
      <c r="F17" s="16">
        <f t="shared" si="5"/>
        <v>1.258545266</v>
      </c>
      <c r="G17" s="17">
        <f t="shared" si="5"/>
        <v>1.119595548</v>
      </c>
      <c r="H17" s="17">
        <f t="shared" si="5"/>
        <v>0.5132811895</v>
      </c>
      <c r="I17" s="18">
        <f>C49</f>
        <v>0.4</v>
      </c>
      <c r="J17" s="19">
        <f>C49</f>
        <v>0.4</v>
      </c>
      <c r="K17" s="19">
        <f>C49</f>
        <v>0.4</v>
      </c>
      <c r="L17" s="19">
        <f>C49</f>
        <v>0.4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3.5" customHeight="1">
      <c r="A19" s="1"/>
      <c r="B19" s="10" t="s">
        <v>21</v>
      </c>
      <c r="C19" s="1"/>
      <c r="D19" s="1"/>
      <c r="E19" s="1"/>
      <c r="F19" s="1"/>
      <c r="G19" s="12" t="s">
        <v>10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1"/>
      <c r="B20" s="3" t="s">
        <v>1</v>
      </c>
      <c r="C20" s="4">
        <v>2021.0</v>
      </c>
      <c r="D20" s="4">
        <v>2022.0</v>
      </c>
      <c r="E20" s="4">
        <v>2023.0</v>
      </c>
      <c r="F20" s="4">
        <v>2024.0</v>
      </c>
      <c r="G20" s="4" t="s">
        <v>13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5" t="s">
        <v>19</v>
      </c>
      <c r="C21" s="7">
        <f t="shared" ref="C21:F21" si="6">C16</f>
        <v>16675</v>
      </c>
      <c r="D21" s="7">
        <f t="shared" si="6"/>
        <v>26914</v>
      </c>
      <c r="E21" s="7">
        <f t="shared" si="6"/>
        <v>26974</v>
      </c>
      <c r="F21" s="7">
        <f t="shared" si="6"/>
        <v>60922</v>
      </c>
      <c r="G21" s="14">
        <v>113269.0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1"/>
      <c r="B22" s="5" t="s">
        <v>7</v>
      </c>
      <c r="C22" s="7">
        <f t="shared" ref="C22:G22" si="7">C10</f>
        <v>4332</v>
      </c>
      <c r="D22" s="7">
        <f t="shared" si="7"/>
        <v>9752</v>
      </c>
      <c r="E22" s="7">
        <f t="shared" si="7"/>
        <v>4368</v>
      </c>
      <c r="F22" s="7">
        <f t="shared" si="7"/>
        <v>29760</v>
      </c>
      <c r="G22" s="7">
        <f t="shared" si="7"/>
        <v>63074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5" t="s">
        <v>21</v>
      </c>
      <c r="C23" s="8">
        <f t="shared" ref="C23:G23" si="8">C22/C21</f>
        <v>0.2597901049</v>
      </c>
      <c r="D23" s="8">
        <f t="shared" si="8"/>
        <v>0.362339303</v>
      </c>
      <c r="E23" s="8">
        <f t="shared" si="8"/>
        <v>0.1619337139</v>
      </c>
      <c r="F23" s="8">
        <f t="shared" si="8"/>
        <v>0.4884934835</v>
      </c>
      <c r="G23" s="8">
        <f t="shared" si="8"/>
        <v>0.5568513892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"/>
      <c r="B25" s="10" t="s">
        <v>22</v>
      </c>
      <c r="C25" s="11" t="s">
        <v>10</v>
      </c>
      <c r="D25" s="11" t="s">
        <v>10</v>
      </c>
      <c r="E25" s="11" t="s">
        <v>10</v>
      </c>
      <c r="F25" s="11" t="s">
        <v>10</v>
      </c>
      <c r="G25" s="12" t="s">
        <v>11</v>
      </c>
      <c r="H25" s="11" t="s">
        <v>12</v>
      </c>
      <c r="I25" s="11" t="s">
        <v>12</v>
      </c>
      <c r="J25" s="11" t="s">
        <v>12</v>
      </c>
      <c r="K25" s="11" t="s">
        <v>12</v>
      </c>
      <c r="L25" s="11" t="s">
        <v>12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1"/>
      <c r="B26" s="3" t="s">
        <v>1</v>
      </c>
      <c r="C26" s="4">
        <v>2021.0</v>
      </c>
      <c r="D26" s="4">
        <v>2022.0</v>
      </c>
      <c r="E26" s="4">
        <v>2023.0</v>
      </c>
      <c r="F26" s="4">
        <v>2024.0</v>
      </c>
      <c r="G26" s="4" t="s">
        <v>13</v>
      </c>
      <c r="H26" s="4" t="s">
        <v>14</v>
      </c>
      <c r="I26" s="4" t="s">
        <v>15</v>
      </c>
      <c r="J26" s="4" t="s">
        <v>16</v>
      </c>
      <c r="K26" s="4" t="s">
        <v>17</v>
      </c>
      <c r="L26" s="4" t="s">
        <v>18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5" t="s">
        <v>19</v>
      </c>
      <c r="C27" s="7">
        <f t="shared" ref="C27:L27" si="9">C16</f>
        <v>16675</v>
      </c>
      <c r="D27" s="7">
        <f t="shared" si="9"/>
        <v>26914</v>
      </c>
      <c r="E27" s="7">
        <f t="shared" si="9"/>
        <v>26974</v>
      </c>
      <c r="F27" s="7">
        <f t="shared" si="9"/>
        <v>60922</v>
      </c>
      <c r="G27" s="20">
        <f t="shared" si="9"/>
        <v>129130</v>
      </c>
      <c r="H27" s="20">
        <f t="shared" si="9"/>
        <v>195410</v>
      </c>
      <c r="I27" s="7">
        <f t="shared" si="9"/>
        <v>273574</v>
      </c>
      <c r="J27" s="7">
        <f t="shared" si="9"/>
        <v>383003.6</v>
      </c>
      <c r="K27" s="7">
        <f t="shared" si="9"/>
        <v>536205.04</v>
      </c>
      <c r="L27" s="7">
        <f t="shared" si="9"/>
        <v>750687.056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1"/>
      <c r="B28" s="5" t="s">
        <v>7</v>
      </c>
      <c r="C28" s="7">
        <f t="shared" ref="C28:F28" si="10">C10</f>
        <v>4332</v>
      </c>
      <c r="D28" s="7">
        <f t="shared" si="10"/>
        <v>9752</v>
      </c>
      <c r="E28" s="7">
        <f t="shared" si="10"/>
        <v>4368</v>
      </c>
      <c r="F28" s="7">
        <f t="shared" si="10"/>
        <v>29760</v>
      </c>
      <c r="G28" s="7">
        <f>G27*0.557</f>
        <v>71925.41</v>
      </c>
      <c r="H28" s="7">
        <f t="shared" ref="H28:L28" si="11">H27*$C$50</f>
        <v>68393.5</v>
      </c>
      <c r="I28" s="7">
        <f t="shared" si="11"/>
        <v>95750.9</v>
      </c>
      <c r="J28" s="7">
        <f t="shared" si="11"/>
        <v>134051.26</v>
      </c>
      <c r="K28" s="7">
        <f t="shared" si="11"/>
        <v>187671.764</v>
      </c>
      <c r="L28" s="7">
        <f t="shared" si="11"/>
        <v>262740.4696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5" t="s">
        <v>21</v>
      </c>
      <c r="C29" s="21">
        <f t="shared" ref="C29:L29" si="12">C28/C27</f>
        <v>0.2597901049</v>
      </c>
      <c r="D29" s="21">
        <f t="shared" si="12"/>
        <v>0.362339303</v>
      </c>
      <c r="E29" s="21">
        <f t="shared" si="12"/>
        <v>0.1619337139</v>
      </c>
      <c r="F29" s="21">
        <f t="shared" si="12"/>
        <v>0.4884934835</v>
      </c>
      <c r="G29" s="21">
        <f t="shared" si="12"/>
        <v>0.557</v>
      </c>
      <c r="H29" s="22">
        <f t="shared" si="12"/>
        <v>0.35</v>
      </c>
      <c r="I29" s="22">
        <f t="shared" si="12"/>
        <v>0.35</v>
      </c>
      <c r="J29" s="22">
        <f t="shared" si="12"/>
        <v>0.35</v>
      </c>
      <c r="K29" s="22">
        <f t="shared" si="12"/>
        <v>0.35</v>
      </c>
      <c r="L29" s="22">
        <f t="shared" si="12"/>
        <v>0.35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10" t="s">
        <v>23</v>
      </c>
      <c r="C31" s="11" t="s">
        <v>10</v>
      </c>
      <c r="D31" s="11" t="s">
        <v>10</v>
      </c>
      <c r="E31" s="11" t="s">
        <v>10</v>
      </c>
      <c r="F31" s="11" t="s">
        <v>10</v>
      </c>
      <c r="G31" s="12" t="s">
        <v>11</v>
      </c>
      <c r="H31" s="11" t="s">
        <v>12</v>
      </c>
      <c r="I31" s="11" t="s">
        <v>12</v>
      </c>
      <c r="J31" s="11" t="s">
        <v>12</v>
      </c>
      <c r="K31" s="11" t="s">
        <v>12</v>
      </c>
      <c r="L31" s="11" t="s">
        <v>12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1"/>
      <c r="B32" s="5" t="s">
        <v>1</v>
      </c>
      <c r="C32" s="4">
        <v>2021.0</v>
      </c>
      <c r="D32" s="4">
        <v>2022.0</v>
      </c>
      <c r="E32" s="4">
        <v>2023.0</v>
      </c>
      <c r="F32" s="4">
        <v>2024.0</v>
      </c>
      <c r="G32" s="4" t="s">
        <v>13</v>
      </c>
      <c r="H32" s="4" t="s">
        <v>14</v>
      </c>
      <c r="I32" s="4" t="s">
        <v>15</v>
      </c>
      <c r="J32" s="4" t="s">
        <v>16</v>
      </c>
      <c r="K32" s="4" t="s">
        <v>17</v>
      </c>
      <c r="L32" s="4" t="s">
        <v>18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"/>
      <c r="B33" s="5" t="s">
        <v>19</v>
      </c>
      <c r="C33" s="7">
        <f t="shared" ref="C33:L33" si="13">C27</f>
        <v>16675</v>
      </c>
      <c r="D33" s="7">
        <f t="shared" si="13"/>
        <v>26914</v>
      </c>
      <c r="E33" s="7">
        <f t="shared" si="13"/>
        <v>26974</v>
      </c>
      <c r="F33" s="7">
        <f t="shared" si="13"/>
        <v>60922</v>
      </c>
      <c r="G33" s="20">
        <f t="shared" si="13"/>
        <v>129130</v>
      </c>
      <c r="H33" s="20">
        <f t="shared" si="13"/>
        <v>195410</v>
      </c>
      <c r="I33" s="7">
        <f t="shared" si="13"/>
        <v>273574</v>
      </c>
      <c r="J33" s="7">
        <f t="shared" si="13"/>
        <v>383003.6</v>
      </c>
      <c r="K33" s="7">
        <f t="shared" si="13"/>
        <v>536205.04</v>
      </c>
      <c r="L33" s="7">
        <f t="shared" si="13"/>
        <v>750687.056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5" t="s">
        <v>7</v>
      </c>
      <c r="C34" s="7">
        <f t="shared" ref="C34:G34" si="14">C10</f>
        <v>4332</v>
      </c>
      <c r="D34" s="7">
        <f t="shared" si="14"/>
        <v>9752</v>
      </c>
      <c r="E34" s="7">
        <f t="shared" si="14"/>
        <v>4368</v>
      </c>
      <c r="F34" s="7">
        <f t="shared" si="14"/>
        <v>29760</v>
      </c>
      <c r="G34" s="7">
        <f t="shared" si="14"/>
        <v>63074</v>
      </c>
      <c r="H34" s="7">
        <f t="shared" ref="H34:L34" si="15">H28</f>
        <v>68393.5</v>
      </c>
      <c r="I34" s="7">
        <f t="shared" si="15"/>
        <v>95750.9</v>
      </c>
      <c r="J34" s="7">
        <f t="shared" si="15"/>
        <v>134051.26</v>
      </c>
      <c r="K34" s="7">
        <f t="shared" si="15"/>
        <v>187671.764</v>
      </c>
      <c r="L34" s="7">
        <f t="shared" si="15"/>
        <v>262740.4696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1"/>
      <c r="B35" s="5" t="s">
        <v>5</v>
      </c>
      <c r="C35" s="7">
        <f t="shared" ref="C35:G35" si="16">C6</f>
        <v>4694</v>
      </c>
      <c r="D35" s="7">
        <f t="shared" si="16"/>
        <v>8132</v>
      </c>
      <c r="E35" s="7">
        <f t="shared" si="16"/>
        <v>3808</v>
      </c>
      <c r="F35" s="7">
        <f t="shared" si="16"/>
        <v>27021</v>
      </c>
      <c r="G35" s="7">
        <f t="shared" si="16"/>
        <v>56546</v>
      </c>
      <c r="H35" s="7">
        <f t="shared" ref="H35:L35" si="17">H36*H34</f>
        <v>47875.45</v>
      </c>
      <c r="I35" s="7">
        <f t="shared" si="17"/>
        <v>67025.63</v>
      </c>
      <c r="J35" s="7">
        <f t="shared" si="17"/>
        <v>93835.882</v>
      </c>
      <c r="K35" s="7">
        <f t="shared" si="17"/>
        <v>131370.2348</v>
      </c>
      <c r="L35" s="7">
        <f t="shared" si="17"/>
        <v>183918.3287</v>
      </c>
      <c r="M35" s="23"/>
      <c r="N35" s="2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5" t="s">
        <v>6</v>
      </c>
      <c r="C36" s="15"/>
      <c r="D36" s="15"/>
      <c r="E36" s="15"/>
      <c r="F36" s="15"/>
      <c r="G36" s="15"/>
      <c r="H36" s="22">
        <v>0.7</v>
      </c>
      <c r="I36" s="22">
        <v>0.7</v>
      </c>
      <c r="J36" s="22">
        <v>0.7</v>
      </c>
      <c r="K36" s="22">
        <v>0.7</v>
      </c>
      <c r="L36" s="22">
        <v>0.7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24" t="s">
        <v>24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5" t="s">
        <v>1</v>
      </c>
      <c r="C40" s="5"/>
      <c r="D40" s="4">
        <v>2021.0</v>
      </c>
      <c r="E40" s="4">
        <v>2022.0</v>
      </c>
      <c r="F40" s="4">
        <v>2023.0</v>
      </c>
      <c r="G40" s="4">
        <v>2024.0</v>
      </c>
      <c r="H40" s="4" t="s">
        <v>13</v>
      </c>
      <c r="I40" s="4" t="s">
        <v>14</v>
      </c>
      <c r="J40" s="4" t="s">
        <v>15</v>
      </c>
      <c r="K40" s="4" t="s">
        <v>16</v>
      </c>
      <c r="L40" s="4" t="s">
        <v>17</v>
      </c>
      <c r="M40" s="4" t="s">
        <v>18</v>
      </c>
      <c r="N40" s="27" t="s">
        <v>25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5" t="s">
        <v>5</v>
      </c>
      <c r="C41" s="15"/>
      <c r="D41" s="7">
        <f t="shared" ref="D41:M41" si="18">C35</f>
        <v>4694</v>
      </c>
      <c r="E41" s="7">
        <f t="shared" si="18"/>
        <v>8132</v>
      </c>
      <c r="F41" s="7">
        <f t="shared" si="18"/>
        <v>3808</v>
      </c>
      <c r="G41" s="7">
        <f t="shared" si="18"/>
        <v>27021</v>
      </c>
      <c r="H41" s="7">
        <f t="shared" si="18"/>
        <v>56546</v>
      </c>
      <c r="I41" s="7">
        <f t="shared" si="18"/>
        <v>47875.45</v>
      </c>
      <c r="J41" s="7">
        <f t="shared" si="18"/>
        <v>67025.63</v>
      </c>
      <c r="K41" s="7">
        <f t="shared" si="18"/>
        <v>93835.882</v>
      </c>
      <c r="L41" s="7">
        <f t="shared" si="18"/>
        <v>131370.2348</v>
      </c>
      <c r="M41" s="7">
        <f t="shared" si="18"/>
        <v>183918.3287</v>
      </c>
      <c r="N41" s="7">
        <f>M41*(1+C52)/(C51-C52)</f>
        <v>2706226.837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5" t="s">
        <v>26</v>
      </c>
      <c r="C42" s="15"/>
      <c r="D42" s="15"/>
      <c r="E42" s="15"/>
      <c r="F42" s="15"/>
      <c r="G42" s="15"/>
      <c r="H42" s="15"/>
      <c r="I42" s="28">
        <f>(1+$C$51)^1</f>
        <v>1.1</v>
      </c>
      <c r="J42" s="28">
        <f>(1+$C$51)^2</f>
        <v>1.21</v>
      </c>
      <c r="K42" s="28">
        <f>(1+$C$51)^3</f>
        <v>1.331</v>
      </c>
      <c r="L42" s="28">
        <f>(1+$C$51)^4</f>
        <v>1.4641</v>
      </c>
      <c r="M42" s="28">
        <f t="shared" ref="M42:N42" si="19">(1+$C$51)^5</f>
        <v>1.61051</v>
      </c>
      <c r="N42" s="28">
        <f t="shared" si="19"/>
        <v>1.61051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5" t="s">
        <v>27</v>
      </c>
      <c r="C43" s="15"/>
      <c r="D43" s="15"/>
      <c r="E43" s="15"/>
      <c r="F43" s="15"/>
      <c r="G43" s="15"/>
      <c r="H43" s="15"/>
      <c r="I43" s="7">
        <f t="shared" ref="I43:N43" si="20">I41/I42</f>
        <v>43523.13636</v>
      </c>
      <c r="J43" s="7">
        <f t="shared" si="20"/>
        <v>55393.08264</v>
      </c>
      <c r="K43" s="7">
        <f t="shared" si="20"/>
        <v>70500.287</v>
      </c>
      <c r="L43" s="7">
        <f t="shared" si="20"/>
        <v>89727.638</v>
      </c>
      <c r="M43" s="7">
        <f t="shared" si="20"/>
        <v>114198.812</v>
      </c>
      <c r="N43" s="7">
        <f t="shared" si="20"/>
        <v>1680353.948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5" t="s">
        <v>28</v>
      </c>
      <c r="C44" s="29">
        <f>SUM(I43:N43)</f>
        <v>2053696.904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5" t="s">
        <v>29</v>
      </c>
      <c r="C45" s="30">
        <v>24490.0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31" t="s">
        <v>30</v>
      </c>
      <c r="C46" s="32">
        <f>C44/C45</f>
        <v>83.85859143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5" t="s">
        <v>31</v>
      </c>
      <c r="C48" s="1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33" t="s">
        <v>32</v>
      </c>
      <c r="C49" s="34">
        <v>0.4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33" t="s">
        <v>33</v>
      </c>
      <c r="C50" s="34">
        <v>0.35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33" t="s">
        <v>34</v>
      </c>
      <c r="C51" s="34">
        <v>0.1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5" t="s">
        <v>35</v>
      </c>
      <c r="C52" s="34">
        <v>0.03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35" t="s">
        <v>36</v>
      </c>
      <c r="C54" s="35" t="s">
        <v>30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36">
        <v>0.1</v>
      </c>
      <c r="C55" s="37">
        <f t="shared" ref="C55:C57" si="21">$C$46*(1-B55)</f>
        <v>75.47273229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36">
        <v>0.2</v>
      </c>
      <c r="C56" s="37">
        <f t="shared" si="21"/>
        <v>67.08687314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36">
        <v>0.3</v>
      </c>
      <c r="C57" s="37">
        <f t="shared" si="21"/>
        <v>58.701014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3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3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">
    <mergeCell ref="B39:N39"/>
  </mergeCells>
  <printOptions/>
  <pageMargins bottom="0.75" footer="0.0" header="0.0" left="0.7" right="0.7" top="0.75"/>
  <pageSetup orientation="portrait"/>
  <drawing r:id="rId1"/>
</worksheet>
</file>